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95" windowHeight="11760" activeTab="0"/>
  </bookViews>
  <sheets>
    <sheet name="Legend" sheetId="1" r:id="rId1"/>
    <sheet name="Cash Flow Model" sheetId="2" r:id="rId2"/>
  </sheets>
  <definedNames/>
  <calcPr fullCalcOnLoad="1"/>
</workbook>
</file>

<file path=xl/sharedStrings.xml><?xml version="1.0" encoding="utf-8"?>
<sst xmlns="http://schemas.openxmlformats.org/spreadsheetml/2006/main" count="70" uniqueCount="59">
  <si>
    <t>Totals</t>
  </si>
  <si>
    <t>Total Costs</t>
  </si>
  <si>
    <t xml:space="preserve">Total Capital </t>
  </si>
  <si>
    <t>Cash Flow Before Taxes</t>
  </si>
  <si>
    <t>Income Tax Rate</t>
  </si>
  <si>
    <t>Net Income Taxes</t>
  </si>
  <si>
    <t>Income Tax Calculation</t>
  </si>
  <si>
    <t>Cash Flow After Taxes</t>
  </si>
  <si>
    <t>IRR</t>
  </si>
  <si>
    <t>NPV of Cash Flow</t>
  </si>
  <si>
    <t>Discount Rate</t>
  </si>
  <si>
    <t>Operating and Maintenance Costs</t>
  </si>
  <si>
    <t>Cost Escalation Factor</t>
  </si>
  <si>
    <t>Escalation of Costs</t>
  </si>
  <si>
    <t>Assumptions:</t>
  </si>
  <si>
    <t>Escalation of Benefits</t>
  </si>
  <si>
    <t>Benefit Escalation Factor</t>
  </si>
  <si>
    <t>Operating Benefits</t>
  </si>
  <si>
    <t>Business Case Results:</t>
  </si>
  <si>
    <t>Discounted Cash Flow (After Tax)</t>
  </si>
  <si>
    <t>Operating Cost</t>
  </si>
  <si>
    <t>Cash Flow Model Example</t>
  </si>
  <si>
    <t>Technology Purchase</t>
  </si>
  <si>
    <t>Cumulative Cash Flows</t>
  </si>
  <si>
    <t>Year 0</t>
  </si>
  <si>
    <t>Payback Period</t>
  </si>
  <si>
    <t>Depreciation Expense (5-yr Straight Line)</t>
  </si>
  <si>
    <t>Capital Costs</t>
  </si>
  <si>
    <t>Total Benefits</t>
  </si>
  <si>
    <t>Operating Costs</t>
  </si>
  <si>
    <t>Maintenance Costs</t>
  </si>
  <si>
    <t>Changes in the cost or price of specific goods or services in a given economy over a given time period. This is a similar to the concepts of inflation and deflation except that escalation is specific to an item or class of items. Over long periods of time, as market supply and demand imbalances are corrected, escalation will tend to more-or-less equal to inflation unless there are sustained technology or efficiency changes in a market.</t>
  </si>
  <si>
    <t>Cash Inflows</t>
  </si>
  <si>
    <t>Cash Outflows</t>
  </si>
  <si>
    <t>Cash that is leaving a company as a result of a project investment</t>
  </si>
  <si>
    <t>Cash that is coming into a company as a result of a project investment</t>
  </si>
  <si>
    <t>Additional Product Revenue</t>
  </si>
  <si>
    <t>New Product Revenue from XYZ</t>
  </si>
  <si>
    <t>New Product Revenue from ABC</t>
  </si>
  <si>
    <t>Changes in the revenue (cash inflow) or price of specific goods or services in a given economy over a given time period. This is a similar to the concepts of inflation and deflation except that escalation is specific to an item or class of items. Over long periods of time, as market supply and demand imbalances are corrected, escalation will tend to more-or-less equal to inflation unless there are sustained technology or efficiency changes in a market.</t>
  </si>
  <si>
    <t>Depreciation Expense (5-year straight line)</t>
  </si>
  <si>
    <t>Discounted Cash Flow</t>
  </si>
  <si>
    <t>Using a discount rate of 8.0%, this is the discounted cash flow (all cash flows are shown in present values)</t>
  </si>
  <si>
    <t>Internal Rate of Return (IRR)</t>
  </si>
  <si>
    <t>Payback</t>
  </si>
  <si>
    <t>NPV calculates the amount of money, in today’s dollars, that a project is expected to make for a company</t>
  </si>
  <si>
    <t>The yearly rate at which an organization expects to recover its investment in a project</t>
  </si>
  <si>
    <t>The period of time required for a project’s financial benefits to ‘repay’ the sum of the project investment costs</t>
  </si>
  <si>
    <r>
      <t xml:space="preserve">In this example, the company is able to achieve </t>
    </r>
    <r>
      <rPr>
        <i/>
        <sz val="10"/>
        <rFont val="Arial"/>
        <family val="2"/>
      </rPr>
      <t>additional</t>
    </r>
    <r>
      <rPr>
        <sz val="10"/>
        <rFont val="Arial"/>
        <family val="2"/>
      </rPr>
      <t xml:space="preserve"> revenue on existing products because of the technology investment</t>
    </r>
  </si>
  <si>
    <r>
      <t xml:space="preserve">In this example, the company is able to achieve </t>
    </r>
    <r>
      <rPr>
        <i/>
        <sz val="10"/>
        <rFont val="Arial"/>
        <family val="2"/>
      </rPr>
      <t>new</t>
    </r>
    <r>
      <rPr>
        <sz val="10"/>
        <rFont val="Arial"/>
        <family val="2"/>
      </rPr>
      <t xml:space="preserve"> revenue on a new product they can bring to market (ABC) because of the technology investment</t>
    </r>
  </si>
  <si>
    <r>
      <t xml:space="preserve">In this example, the company is able to achieve </t>
    </r>
    <r>
      <rPr>
        <i/>
        <sz val="10"/>
        <rFont val="Arial"/>
        <family val="2"/>
      </rPr>
      <t>new</t>
    </r>
    <r>
      <rPr>
        <sz val="10"/>
        <rFont val="Arial"/>
        <family val="2"/>
      </rPr>
      <t xml:space="preserve"> revenue on a new product they can bring to market (XYZ) because of the technology investment</t>
    </r>
  </si>
  <si>
    <t>The purchase costs of capital (equipment). For most projects this occurs in Year 0. In this example technology was purchased in order to produce additional revenue, as well as new revenue from new product lines.</t>
  </si>
  <si>
    <t>The technology purchased has a useful life of 5 years with no salvage value at the end of 5 years. With straight-line depreciation, the 7,500,000 purchase price is evenly depreciated over the 5 years.</t>
  </si>
  <si>
    <t>After taking depreciation costs out of the Before Tax Cash Flow, determine the taxes that are taken out by using the tax rate of 35% in this example.</t>
  </si>
  <si>
    <t>Cash Flow After Taxes (add back depreciation)</t>
  </si>
  <si>
    <t>Description</t>
  </si>
  <si>
    <t>Field</t>
  </si>
  <si>
    <t>These are the costs associated with operating and maintaining the equipment that was purchased.</t>
  </si>
  <si>
    <t>This is the cash flow after taxes (add back depreciation since depreciation is a non-cash expense used for tax purposes)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</si>
</sst>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2]* #,##0.00_);_([$€-2]* \(#,##0.00\);_([$€-2]* &quot;-&quot;??_)"/>
    <numFmt numFmtId="165" formatCode="_(&quot;$&quot;* #,##0_);_(&quot;$&quot;* \(#,##0\);_(&quot;$&quot;* &quot;-&quot;??_);_(@_)"/>
    <numFmt numFmtId="166" formatCode="_(&quot;$&quot;* #,##0.0_);_(&quot;$&quot;* \(#,##0.0\);_(&quot;$&quot;* &quot;-&quot;??_);_(@_)"/>
    <numFmt numFmtId="167" formatCode="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2]\ #,##0.00_);[Red]\([$€-2]\ #,##0.00\)"/>
    <numFmt numFmtId="174" formatCode="_(&quot;$&quot;* #,##0.000_);_(&quot;$&quot;* \(#,##0.000\);_(&quot;$&quot;* &quot;-&quot;??_);_(@_)"/>
  </numFmts>
  <fonts count="49">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name val="Times New Roman"/>
      <family val="1"/>
    </font>
    <font>
      <sz val="12"/>
      <name val="Times New Roman"/>
      <family val="1"/>
    </font>
    <font>
      <sz val="12"/>
      <color indexed="12"/>
      <name val="Times New Roman"/>
      <family val="1"/>
    </font>
    <font>
      <i/>
      <u val="single"/>
      <sz val="12"/>
      <color indexed="12"/>
      <name val="Times New Roman"/>
      <family val="1"/>
    </font>
    <font>
      <b/>
      <u val="single"/>
      <sz val="12"/>
      <name val="Times New Roman"/>
      <family val="1"/>
    </font>
    <font>
      <i/>
      <sz val="10"/>
      <name val="Arial"/>
      <family val="2"/>
    </font>
    <font>
      <b/>
      <sz val="11"/>
      <name val="Arial"/>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Alignment="1">
      <alignment/>
    </xf>
    <xf numFmtId="0" fontId="3"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5" fillId="0" borderId="0" xfId="0" applyFont="1" applyBorder="1" applyAlignment="1" applyProtection="1">
      <alignment horizontal="left" wrapText="1"/>
      <protection/>
    </xf>
    <xf numFmtId="165" fontId="5" fillId="0" borderId="0" xfId="44" applyNumberFormat="1" applyFont="1" applyBorder="1" applyAlignment="1" applyProtection="1">
      <alignment horizontal="left" wrapText="1"/>
      <protection/>
    </xf>
    <xf numFmtId="0" fontId="6" fillId="0" borderId="0" xfId="0" applyFont="1" applyBorder="1" applyAlignment="1" applyProtection="1">
      <alignment horizontal="left" wrapText="1" indent="1"/>
      <protection/>
    </xf>
    <xf numFmtId="165" fontId="7" fillId="0" borderId="0" xfId="44" applyNumberFormat="1" applyFont="1" applyBorder="1" applyAlignment="1" applyProtection="1">
      <alignment horizontal="left" wrapText="1"/>
      <protection/>
    </xf>
    <xf numFmtId="165" fontId="6" fillId="0" borderId="0" xfId="44" applyNumberFormat="1" applyFont="1" applyBorder="1" applyAlignment="1" applyProtection="1">
      <alignment horizontal="left" wrapText="1"/>
      <protection/>
    </xf>
    <xf numFmtId="0" fontId="6" fillId="0" borderId="0" xfId="0" applyFont="1" applyBorder="1" applyAlignment="1">
      <alignment horizontal="left" indent="1"/>
    </xf>
    <xf numFmtId="165" fontId="6" fillId="0" borderId="0" xfId="44" applyNumberFormat="1" applyFont="1" applyFill="1" applyBorder="1" applyAlignment="1" applyProtection="1">
      <alignment horizontal="center"/>
      <protection/>
    </xf>
    <xf numFmtId="0" fontId="5" fillId="0" borderId="0" xfId="0" applyFont="1" applyBorder="1" applyAlignment="1">
      <alignment horizontal="left"/>
    </xf>
    <xf numFmtId="165" fontId="5" fillId="0" borderId="0" xfId="44" applyNumberFormat="1" applyFont="1" applyFill="1" applyBorder="1" applyAlignment="1" applyProtection="1">
      <alignment horizontal="center"/>
      <protection/>
    </xf>
    <xf numFmtId="0" fontId="6" fillId="0" borderId="0" xfId="0" applyFont="1" applyAlignment="1">
      <alignment horizontal="left" indent="1"/>
    </xf>
    <xf numFmtId="165" fontId="6" fillId="0" borderId="0" xfId="44" applyNumberFormat="1" applyFont="1" applyBorder="1" applyAlignment="1">
      <alignment/>
    </xf>
    <xf numFmtId="165" fontId="5" fillId="0" borderId="0" xfId="44" applyNumberFormat="1" applyFont="1" applyBorder="1" applyAlignment="1">
      <alignment/>
    </xf>
    <xf numFmtId="165" fontId="5" fillId="0" borderId="0" xfId="0" applyNumberFormat="1" applyFont="1" applyAlignment="1">
      <alignment/>
    </xf>
    <xf numFmtId="165" fontId="6" fillId="0" borderId="0" xfId="0" applyNumberFormat="1" applyFont="1" applyAlignment="1">
      <alignment/>
    </xf>
    <xf numFmtId="0" fontId="5" fillId="0" borderId="0" xfId="0" applyFont="1" applyAlignment="1">
      <alignment/>
    </xf>
    <xf numFmtId="10" fontId="6" fillId="0" borderId="0" xfId="0" applyNumberFormat="1" applyFont="1" applyAlignment="1">
      <alignment/>
    </xf>
    <xf numFmtId="167" fontId="5" fillId="0" borderId="0" xfId="60" applyNumberFormat="1" applyFont="1" applyAlignment="1">
      <alignment/>
    </xf>
    <xf numFmtId="43" fontId="5" fillId="0" borderId="0" xfId="0" applyNumberFormat="1" applyFont="1" applyAlignment="1">
      <alignment/>
    </xf>
    <xf numFmtId="9" fontId="6" fillId="0" borderId="0" xfId="0" applyNumberFormat="1" applyFont="1" applyAlignment="1">
      <alignment/>
    </xf>
    <xf numFmtId="0" fontId="8" fillId="0" borderId="0" xfId="54" applyFont="1" applyAlignment="1" applyProtection="1">
      <alignment horizontal="left" indent="1"/>
      <protection/>
    </xf>
    <xf numFmtId="0" fontId="0" fillId="0" borderId="0" xfId="0" applyAlignment="1">
      <alignment wrapText="1"/>
    </xf>
    <xf numFmtId="0" fontId="0" fillId="0" borderId="0" xfId="0" applyFont="1" applyAlignment="1">
      <alignment wrapText="1"/>
    </xf>
    <xf numFmtId="0" fontId="9" fillId="0" borderId="0" xfId="0" applyFont="1" applyBorder="1" applyAlignment="1" applyProtection="1">
      <alignment horizontal="left" wrapText="1"/>
      <protection/>
    </xf>
    <xf numFmtId="0" fontId="9" fillId="0" borderId="0" xfId="0" applyFont="1" applyAlignment="1">
      <alignment/>
    </xf>
    <xf numFmtId="0" fontId="11" fillId="34" borderId="0" xfId="0" applyFont="1" applyFill="1" applyAlignment="1">
      <alignment horizontal="center"/>
    </xf>
    <xf numFmtId="0" fontId="11" fillId="34" borderId="0" xfId="0" applyFont="1" applyFill="1" applyAlignment="1">
      <alignment horizontal="center" wrapText="1"/>
    </xf>
    <xf numFmtId="0" fontId="6" fillId="0" borderId="0" xfId="0" applyFont="1" applyAlignment="1">
      <alignment horizontal="left" indent="1"/>
    </xf>
    <xf numFmtId="0" fontId="5"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Payback Period</a:t>
            </a:r>
          </a:p>
        </c:rich>
      </c:tx>
      <c:layout>
        <c:manualLayout>
          <c:xMode val="factor"/>
          <c:yMode val="factor"/>
          <c:x val="-0.002"/>
          <c:y val="-0.0075"/>
        </c:manualLayout>
      </c:layout>
      <c:spPr>
        <a:noFill/>
        <a:ln>
          <a:noFill/>
        </a:ln>
      </c:spPr>
    </c:title>
    <c:plotArea>
      <c:layout>
        <c:manualLayout>
          <c:xMode val="edge"/>
          <c:yMode val="edge"/>
          <c:x val="0.00125"/>
          <c:y val="0.1235"/>
          <c:w val="0.974"/>
          <c:h val="0.87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val>
            <c:numRef>
              <c:f>'Cash Flow Model'!$B$41:$L$41</c:f>
              <c:numCache/>
            </c:numRef>
          </c:val>
          <c:smooth val="0"/>
        </c:ser>
        <c:marker val="1"/>
        <c:axId val="37669981"/>
        <c:axId val="3485510"/>
      </c:lineChart>
      <c:catAx>
        <c:axId val="376699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85510"/>
        <c:crosses val="autoZero"/>
        <c:auto val="1"/>
        <c:lblOffset val="100"/>
        <c:tickLblSkip val="1"/>
        <c:noMultiLvlLbl val="0"/>
      </c:catAx>
      <c:valAx>
        <c:axId val="34855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66998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1276350</xdr:colOff>
      <xdr:row>3</xdr:row>
      <xdr:rowOff>0</xdr:rowOff>
    </xdr:to>
    <xdr:pic>
      <xdr:nvPicPr>
        <xdr:cNvPr id="1" name="Picture 1"/>
        <xdr:cNvPicPr preferRelativeResize="1">
          <a:picLocks noChangeAspect="1"/>
        </xdr:cNvPicPr>
      </xdr:nvPicPr>
      <xdr:blipFill>
        <a:blip r:embed="rId1"/>
        <a:stretch>
          <a:fillRect/>
        </a:stretch>
      </xdr:blipFill>
      <xdr:spPr>
        <a:xfrm>
          <a:off x="0" y="0"/>
          <a:ext cx="12763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43</xdr:row>
      <xdr:rowOff>114300</xdr:rowOff>
    </xdr:from>
    <xdr:to>
      <xdr:col>7</xdr:col>
      <xdr:colOff>676275</xdr:colOff>
      <xdr:row>60</xdr:row>
      <xdr:rowOff>28575</xdr:rowOff>
    </xdr:to>
    <xdr:graphicFrame>
      <xdr:nvGraphicFramePr>
        <xdr:cNvPr id="1" name="Chart 2"/>
        <xdr:cNvGraphicFramePr/>
      </xdr:nvGraphicFramePr>
      <xdr:xfrm>
        <a:off x="5076825" y="8658225"/>
        <a:ext cx="459105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5:B21"/>
  <sheetViews>
    <sheetView tabSelected="1" zoomScalePageLayoutView="0" workbookViewId="0" topLeftCell="A1">
      <selection activeCell="B18" sqref="B18"/>
    </sheetView>
  </sheetViews>
  <sheetFormatPr defaultColWidth="9.140625" defaultRowHeight="12.75"/>
  <cols>
    <col min="1" max="1" width="42.57421875" style="0" customWidth="1"/>
    <col min="2" max="2" width="127.7109375" style="29" customWidth="1"/>
  </cols>
  <sheetData>
    <row r="1" ht="12.75"/>
    <row r="2" ht="12.75"/>
    <row r="3" ht="12.75"/>
    <row r="5" spans="1:2" ht="15">
      <c r="A5" s="33" t="s">
        <v>56</v>
      </c>
      <c r="B5" s="34" t="s">
        <v>55</v>
      </c>
    </row>
    <row r="6" spans="1:2" ht="12.75">
      <c r="A6" s="1" t="s">
        <v>33</v>
      </c>
      <c r="B6" s="30" t="s">
        <v>34</v>
      </c>
    </row>
    <row r="7" spans="1:2" ht="25.5">
      <c r="A7" s="1" t="s">
        <v>27</v>
      </c>
      <c r="B7" s="30" t="s">
        <v>51</v>
      </c>
    </row>
    <row r="8" spans="1:2" ht="12.75">
      <c r="A8" s="1" t="s">
        <v>11</v>
      </c>
      <c r="B8" s="30" t="s">
        <v>57</v>
      </c>
    </row>
    <row r="9" spans="1:2" ht="38.25">
      <c r="A9" s="1" t="s">
        <v>13</v>
      </c>
      <c r="B9" s="30" t="s">
        <v>31</v>
      </c>
    </row>
    <row r="10" spans="1:2" ht="12.75">
      <c r="A10" s="1" t="s">
        <v>32</v>
      </c>
      <c r="B10" s="30" t="s">
        <v>35</v>
      </c>
    </row>
    <row r="11" spans="1:2" ht="12.75">
      <c r="A11" s="1" t="s">
        <v>36</v>
      </c>
      <c r="B11" s="30" t="s">
        <v>48</v>
      </c>
    </row>
    <row r="12" spans="1:2" ht="25.5">
      <c r="A12" s="1" t="s">
        <v>38</v>
      </c>
      <c r="B12" s="30" t="s">
        <v>49</v>
      </c>
    </row>
    <row r="13" spans="1:2" ht="12.75">
      <c r="A13" s="1" t="s">
        <v>37</v>
      </c>
      <c r="B13" s="30" t="s">
        <v>50</v>
      </c>
    </row>
    <row r="14" spans="1:2" ht="51">
      <c r="A14" s="1" t="s">
        <v>15</v>
      </c>
      <c r="B14" s="30" t="s">
        <v>39</v>
      </c>
    </row>
    <row r="15" spans="1:2" ht="25.5">
      <c r="A15" s="1" t="s">
        <v>40</v>
      </c>
      <c r="B15" s="30" t="s">
        <v>52</v>
      </c>
    </row>
    <row r="16" spans="1:2" ht="12.75">
      <c r="A16" s="1" t="s">
        <v>5</v>
      </c>
      <c r="B16" s="30" t="s">
        <v>53</v>
      </c>
    </row>
    <row r="17" spans="1:2" ht="12.75">
      <c r="A17" s="1" t="s">
        <v>7</v>
      </c>
      <c r="B17" s="30" t="s">
        <v>58</v>
      </c>
    </row>
    <row r="18" spans="1:2" ht="12.75">
      <c r="A18" s="1" t="s">
        <v>41</v>
      </c>
      <c r="B18" s="30" t="s">
        <v>42</v>
      </c>
    </row>
    <row r="19" spans="1:2" ht="12.75">
      <c r="A19" s="1" t="s">
        <v>9</v>
      </c>
      <c r="B19" s="29" t="s">
        <v>45</v>
      </c>
    </row>
    <row r="20" spans="1:2" ht="12.75">
      <c r="A20" s="1" t="s">
        <v>43</v>
      </c>
      <c r="B20" s="29" t="s">
        <v>46</v>
      </c>
    </row>
    <row r="21" spans="1:2" ht="12.75">
      <c r="A21" s="1" t="s">
        <v>44</v>
      </c>
      <c r="B21" s="29" t="s">
        <v>47</v>
      </c>
    </row>
  </sheetData>
  <sheetProtection/>
  <printOptions/>
  <pageMargins left="0.7" right="0.7" top="0.75" bottom="0.75" header="0.3" footer="0.3"/>
  <pageSetup fitToHeight="4" fitToWidth="1" horizontalDpi="600" verticalDpi="600" orientation="landscape"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zoomScale="80" zoomScaleNormal="80"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5.57421875" style="0" customWidth="1"/>
    <col min="2" max="2" width="15.7109375" style="0" customWidth="1"/>
    <col min="3" max="12" width="14.7109375" style="0" customWidth="1"/>
    <col min="13" max="13" width="17.7109375" style="0" customWidth="1"/>
  </cols>
  <sheetData>
    <row r="1" spans="1:13" ht="16.5" thickBot="1">
      <c r="A1" s="2"/>
      <c r="B1" s="4"/>
      <c r="C1" s="4"/>
      <c r="D1" s="4"/>
      <c r="E1" s="4"/>
      <c r="F1" s="3" t="s">
        <v>21</v>
      </c>
      <c r="G1" s="4"/>
      <c r="H1" s="4"/>
      <c r="I1" s="4"/>
      <c r="J1" s="4"/>
      <c r="K1" s="4"/>
      <c r="L1" s="4"/>
      <c r="M1" s="4"/>
    </row>
    <row r="2" spans="1:13" ht="16.5" thickBot="1">
      <c r="A2" s="31" t="s">
        <v>33</v>
      </c>
      <c r="B2" s="5" t="s">
        <v>24</v>
      </c>
      <c r="C2" s="6">
        <v>1</v>
      </c>
      <c r="D2" s="6">
        <v>2</v>
      </c>
      <c r="E2" s="6">
        <v>3</v>
      </c>
      <c r="F2" s="6">
        <v>4</v>
      </c>
      <c r="G2" s="6">
        <v>5</v>
      </c>
      <c r="H2" s="7">
        <v>6</v>
      </c>
      <c r="I2" s="7">
        <v>7</v>
      </c>
      <c r="J2" s="7">
        <v>8</v>
      </c>
      <c r="K2" s="7">
        <v>9</v>
      </c>
      <c r="L2" s="7">
        <v>10</v>
      </c>
      <c r="M2" s="8" t="s">
        <v>0</v>
      </c>
    </row>
    <row r="3" spans="1:13" ht="15.75">
      <c r="A3" s="9" t="s">
        <v>27</v>
      </c>
      <c r="B3" s="10"/>
      <c r="C3" s="10"/>
      <c r="D3" s="10"/>
      <c r="E3" s="10"/>
      <c r="F3" s="10"/>
      <c r="G3" s="10"/>
      <c r="H3" s="10"/>
      <c r="I3" s="10"/>
      <c r="J3" s="10"/>
      <c r="K3" s="10"/>
      <c r="L3" s="10"/>
      <c r="M3" s="10"/>
    </row>
    <row r="4" spans="1:13" ht="15.75">
      <c r="A4" s="11" t="s">
        <v>22</v>
      </c>
      <c r="B4" s="13">
        <v>-7500000</v>
      </c>
      <c r="C4" s="12">
        <v>0</v>
      </c>
      <c r="D4" s="12">
        <v>0</v>
      </c>
      <c r="E4" s="12">
        <v>0</v>
      </c>
      <c r="F4" s="12">
        <v>0</v>
      </c>
      <c r="G4" s="12">
        <v>0</v>
      </c>
      <c r="H4" s="12">
        <v>0</v>
      </c>
      <c r="I4" s="12">
        <v>0</v>
      </c>
      <c r="J4" s="12">
        <v>0</v>
      </c>
      <c r="K4" s="12">
        <v>0</v>
      </c>
      <c r="L4" s="12">
        <v>0</v>
      </c>
      <c r="M4" s="13">
        <f>SUM(B4:L4)</f>
        <v>-7500000</v>
      </c>
    </row>
    <row r="5" spans="1:13" ht="15.75">
      <c r="A5" s="11"/>
      <c r="B5" s="13"/>
      <c r="C5" s="13"/>
      <c r="D5" s="13"/>
      <c r="E5" s="13"/>
      <c r="F5" s="13"/>
      <c r="G5" s="13"/>
      <c r="H5" s="13"/>
      <c r="I5" s="13"/>
      <c r="J5" s="13"/>
      <c r="K5" s="13"/>
      <c r="L5" s="13"/>
      <c r="M5" s="13"/>
    </row>
    <row r="6" spans="1:13" ht="15.75">
      <c r="A6" s="9" t="s">
        <v>2</v>
      </c>
      <c r="B6" s="10">
        <f>SUM(B4:B5)</f>
        <v>-7500000</v>
      </c>
      <c r="C6" s="10">
        <f aca="true" t="shared" si="0" ref="C6:M6">SUM(C4:C5)</f>
        <v>0</v>
      </c>
      <c r="D6" s="10">
        <f t="shared" si="0"/>
        <v>0</v>
      </c>
      <c r="E6" s="10">
        <f t="shared" si="0"/>
        <v>0</v>
      </c>
      <c r="F6" s="10">
        <f t="shared" si="0"/>
        <v>0</v>
      </c>
      <c r="G6" s="10">
        <f t="shared" si="0"/>
        <v>0</v>
      </c>
      <c r="H6" s="10">
        <f>SUM(H4:H5)</f>
        <v>0</v>
      </c>
      <c r="I6" s="10">
        <f>SUM(I4:I5)</f>
        <v>0</v>
      </c>
      <c r="J6" s="10">
        <f>SUM(J4:J5)</f>
        <v>0</v>
      </c>
      <c r="K6" s="10">
        <f>SUM(K4:K5)</f>
        <v>0</v>
      </c>
      <c r="L6" s="10">
        <f>SUM(L4:L5)</f>
        <v>0</v>
      </c>
      <c r="M6" s="10">
        <f t="shared" si="0"/>
        <v>-7500000</v>
      </c>
    </row>
    <row r="7" spans="1:13" ht="15.75">
      <c r="A7" s="9"/>
      <c r="B7" s="10"/>
      <c r="C7" s="10"/>
      <c r="D7" s="10"/>
      <c r="E7" s="10"/>
      <c r="F7" s="10"/>
      <c r="G7" s="10"/>
      <c r="H7" s="10"/>
      <c r="I7" s="10"/>
      <c r="J7" s="10"/>
      <c r="K7" s="10"/>
      <c r="L7" s="10"/>
      <c r="M7" s="10"/>
    </row>
    <row r="8" spans="1:13" ht="15.75">
      <c r="A8" s="2" t="s">
        <v>11</v>
      </c>
      <c r="B8" s="4"/>
      <c r="C8" s="4"/>
      <c r="D8" s="4"/>
      <c r="E8" s="4"/>
      <c r="F8" s="4"/>
      <c r="G8" s="4"/>
      <c r="H8" s="4"/>
      <c r="I8" s="4"/>
      <c r="J8" s="4"/>
      <c r="K8" s="4"/>
      <c r="L8" s="4"/>
      <c r="M8" s="4"/>
    </row>
    <row r="9" spans="1:13" ht="15.75">
      <c r="A9" s="14" t="s">
        <v>29</v>
      </c>
      <c r="B9" s="15"/>
      <c r="C9" s="15">
        <v>-800000</v>
      </c>
      <c r="D9" s="15">
        <v>-800000</v>
      </c>
      <c r="E9" s="15">
        <v>-800000</v>
      </c>
      <c r="F9" s="15">
        <v>-800000</v>
      </c>
      <c r="G9" s="15">
        <v>-800000</v>
      </c>
      <c r="H9" s="15">
        <v>-800000</v>
      </c>
      <c r="I9" s="15">
        <v>-800000</v>
      </c>
      <c r="J9" s="15">
        <v>-800000</v>
      </c>
      <c r="K9" s="15">
        <v>-800000</v>
      </c>
      <c r="L9" s="15">
        <v>-800000</v>
      </c>
      <c r="M9" s="10">
        <f>SUM(B9:L9)</f>
        <v>-8000000</v>
      </c>
    </row>
    <row r="10" spans="1:13" ht="15.75">
      <c r="A10" s="14" t="s">
        <v>30</v>
      </c>
      <c r="B10" s="15"/>
      <c r="C10" s="15">
        <v>-250000</v>
      </c>
      <c r="D10" s="15">
        <v>-250000</v>
      </c>
      <c r="E10" s="15">
        <v>-250000</v>
      </c>
      <c r="F10" s="15">
        <v>-250000</v>
      </c>
      <c r="G10" s="15">
        <v>-250000</v>
      </c>
      <c r="H10" s="15">
        <v>-250000</v>
      </c>
      <c r="I10" s="15">
        <v>-250000</v>
      </c>
      <c r="J10" s="15">
        <v>-250000</v>
      </c>
      <c r="K10" s="15">
        <v>-250000</v>
      </c>
      <c r="L10" s="15">
        <v>-250000</v>
      </c>
      <c r="M10" s="10">
        <f>SUM(B10:L10)</f>
        <v>-2500000</v>
      </c>
    </row>
    <row r="11" spans="1:13" ht="15.75">
      <c r="A11" s="14" t="s">
        <v>13</v>
      </c>
      <c r="B11" s="15"/>
      <c r="C11" s="15">
        <f aca="true" t="shared" si="1" ref="C11:L11">SUM(C9:C10)*((1+$G$34)^C2-1)</f>
        <v>-23100.000000000022</v>
      </c>
      <c r="D11" s="15">
        <f t="shared" si="1"/>
        <v>-46708.19999999997</v>
      </c>
      <c r="E11" s="15">
        <f t="shared" si="1"/>
        <v>-70835.78040000002</v>
      </c>
      <c r="F11" s="15">
        <f t="shared" si="1"/>
        <v>-95494.16756880004</v>
      </c>
      <c r="G11" s="15">
        <f t="shared" si="1"/>
        <v>-120695.03925531363</v>
      </c>
      <c r="H11" s="15">
        <f t="shared" si="1"/>
        <v>-146450.3301189304</v>
      </c>
      <c r="I11" s="15">
        <f t="shared" si="1"/>
        <v>-172772.23738154696</v>
      </c>
      <c r="J11" s="15">
        <f t="shared" si="1"/>
        <v>-199673.22660394115</v>
      </c>
      <c r="K11" s="15">
        <f t="shared" si="1"/>
        <v>-227166.0375892278</v>
      </c>
      <c r="L11" s="15">
        <f t="shared" si="1"/>
        <v>-255263.69041619083</v>
      </c>
      <c r="M11" s="10">
        <f>SUM(B11:L11)</f>
        <v>-1358158.709333951</v>
      </c>
    </row>
    <row r="12" spans="1:13" ht="15.75">
      <c r="A12" s="16" t="s">
        <v>1</v>
      </c>
      <c r="B12" s="17">
        <f aca="true" t="shared" si="2" ref="B12:L12">SUM(B9:B11)</f>
        <v>0</v>
      </c>
      <c r="C12" s="17">
        <f t="shared" si="2"/>
        <v>-1073100</v>
      </c>
      <c r="D12" s="17">
        <f t="shared" si="2"/>
        <v>-1096708.2</v>
      </c>
      <c r="E12" s="17">
        <f t="shared" si="2"/>
        <v>-1120835.7804</v>
      </c>
      <c r="F12" s="17">
        <f t="shared" si="2"/>
        <v>-1145494.1675688</v>
      </c>
      <c r="G12" s="17">
        <f t="shared" si="2"/>
        <v>-1170695.0392553136</v>
      </c>
      <c r="H12" s="17">
        <f t="shared" si="2"/>
        <v>-1196450.3301189304</v>
      </c>
      <c r="I12" s="17">
        <f t="shared" si="2"/>
        <v>-1222772.237381547</v>
      </c>
      <c r="J12" s="17">
        <f t="shared" si="2"/>
        <v>-1249673.226603941</v>
      </c>
      <c r="K12" s="17">
        <f t="shared" si="2"/>
        <v>-1277166.0375892278</v>
      </c>
      <c r="L12" s="17">
        <f t="shared" si="2"/>
        <v>-1305263.6904161908</v>
      </c>
      <c r="M12" s="10">
        <f>SUM(B12:L12)</f>
        <v>-11858158.70933395</v>
      </c>
    </row>
    <row r="13" spans="1:13" ht="15.75">
      <c r="A13" s="14"/>
      <c r="B13" s="15"/>
      <c r="C13" s="15"/>
      <c r="D13" s="15"/>
      <c r="E13" s="15"/>
      <c r="F13" s="15"/>
      <c r="G13" s="15"/>
      <c r="H13" s="15"/>
      <c r="I13" s="15"/>
      <c r="J13" s="15"/>
      <c r="K13" s="15"/>
      <c r="L13" s="15"/>
      <c r="M13" s="10"/>
    </row>
    <row r="14" spans="1:13" ht="15.75">
      <c r="A14" s="32" t="s">
        <v>32</v>
      </c>
      <c r="B14" s="4"/>
      <c r="C14" s="4"/>
      <c r="D14" s="4"/>
      <c r="E14" s="4"/>
      <c r="F14" s="4"/>
      <c r="G14" s="4"/>
      <c r="H14" s="4"/>
      <c r="I14" s="4"/>
      <c r="J14" s="4"/>
      <c r="K14" s="4"/>
      <c r="L14" s="4"/>
      <c r="M14" s="4"/>
    </row>
    <row r="15" spans="1:13" ht="15.75">
      <c r="A15" s="18" t="s">
        <v>36</v>
      </c>
      <c r="B15" s="19"/>
      <c r="C15" s="19">
        <v>225000</v>
      </c>
      <c r="D15" s="19">
        <v>225000</v>
      </c>
      <c r="E15" s="19">
        <v>225000</v>
      </c>
      <c r="F15" s="19">
        <v>225000</v>
      </c>
      <c r="G15" s="19">
        <v>225000</v>
      </c>
      <c r="H15" s="19">
        <v>225000</v>
      </c>
      <c r="I15" s="19">
        <v>225000</v>
      </c>
      <c r="J15" s="19">
        <v>225000</v>
      </c>
      <c r="K15" s="19">
        <v>225000</v>
      </c>
      <c r="L15" s="19">
        <v>225000</v>
      </c>
      <c r="M15" s="13">
        <f>SUM(B15:L15)</f>
        <v>2250000</v>
      </c>
    </row>
    <row r="16" spans="1:13" ht="15.75">
      <c r="A16" s="18" t="s">
        <v>38</v>
      </c>
      <c r="B16" s="19"/>
      <c r="C16" s="19">
        <v>1500000</v>
      </c>
      <c r="D16" s="19">
        <v>1500000</v>
      </c>
      <c r="E16" s="19">
        <v>1500000</v>
      </c>
      <c r="F16" s="19">
        <v>1500000</v>
      </c>
      <c r="G16" s="19">
        <v>1500000</v>
      </c>
      <c r="H16" s="19">
        <v>1500000</v>
      </c>
      <c r="I16" s="19">
        <v>1500000</v>
      </c>
      <c r="J16" s="19">
        <v>1500000</v>
      </c>
      <c r="K16" s="19">
        <v>1500000</v>
      </c>
      <c r="L16" s="19">
        <v>1500000</v>
      </c>
      <c r="M16" s="13">
        <f>SUM(B16:L16)</f>
        <v>15000000</v>
      </c>
    </row>
    <row r="17" spans="1:13" ht="15.75">
      <c r="A17" s="18" t="s">
        <v>37</v>
      </c>
      <c r="B17" s="19"/>
      <c r="C17" s="19">
        <v>750000</v>
      </c>
      <c r="D17" s="19">
        <v>750000</v>
      </c>
      <c r="E17" s="19">
        <v>750000</v>
      </c>
      <c r="F17" s="19">
        <v>750000</v>
      </c>
      <c r="G17" s="19">
        <v>750000</v>
      </c>
      <c r="H17" s="19">
        <v>750000</v>
      </c>
      <c r="I17" s="19">
        <v>750000</v>
      </c>
      <c r="J17" s="19">
        <v>750000</v>
      </c>
      <c r="K17" s="19">
        <v>750000</v>
      </c>
      <c r="L17" s="19">
        <v>750000</v>
      </c>
      <c r="M17" s="13">
        <f>SUM(B17:L17)</f>
        <v>7500000</v>
      </c>
    </row>
    <row r="18" spans="1:13" ht="15.75">
      <c r="A18" s="18" t="s">
        <v>15</v>
      </c>
      <c r="B18" s="19"/>
      <c r="C18" s="19">
        <f aca="true" t="shared" si="3" ref="C18:L18">SUM(C15:C17)*((1+$G$35)^C2-1)</f>
        <v>61874.99999999978</v>
      </c>
      <c r="D18" s="19">
        <f t="shared" si="3"/>
        <v>125296.8749999998</v>
      </c>
      <c r="E18" s="19">
        <f t="shared" si="3"/>
        <v>190304.2968749997</v>
      </c>
      <c r="F18" s="19">
        <f t="shared" si="3"/>
        <v>256936.90429687442</v>
      </c>
      <c r="G18" s="19">
        <f t="shared" si="3"/>
        <v>325235.326904296</v>
      </c>
      <c r="H18" s="19">
        <f t="shared" si="3"/>
        <v>395241.2100769032</v>
      </c>
      <c r="I18" s="19">
        <f t="shared" si="3"/>
        <v>466997.24032882595</v>
      </c>
      <c r="J18" s="19">
        <f t="shared" si="3"/>
        <v>540547.1713370463</v>
      </c>
      <c r="K18" s="19">
        <f t="shared" si="3"/>
        <v>615935.850620472</v>
      </c>
      <c r="L18" s="19">
        <f t="shared" si="3"/>
        <v>693209.2468859837</v>
      </c>
      <c r="M18" s="13">
        <f>SUM(B18:L18)</f>
        <v>3671579.122325401</v>
      </c>
    </row>
    <row r="19" spans="1:13" ht="15.75">
      <c r="A19" s="3" t="s">
        <v>28</v>
      </c>
      <c r="B19" s="20">
        <f>SUM(B15:B18)</f>
        <v>0</v>
      </c>
      <c r="C19" s="20">
        <f>SUM(C15:C18)</f>
        <v>2536875</v>
      </c>
      <c r="D19" s="20">
        <f aca="true" t="shared" si="4" ref="D19:L19">SUM(D15:D18)</f>
        <v>2600296.875</v>
      </c>
      <c r="E19" s="20">
        <f t="shared" si="4"/>
        <v>2665304.2968749995</v>
      </c>
      <c r="F19" s="20">
        <f t="shared" si="4"/>
        <v>2731936.9042968745</v>
      </c>
      <c r="G19" s="20">
        <f t="shared" si="4"/>
        <v>2800235.326904296</v>
      </c>
      <c r="H19" s="20">
        <f t="shared" si="4"/>
        <v>2870241.210076903</v>
      </c>
      <c r="I19" s="20">
        <f t="shared" si="4"/>
        <v>2941997.240328826</v>
      </c>
      <c r="J19" s="20">
        <f t="shared" si="4"/>
        <v>3015547.171337046</v>
      </c>
      <c r="K19" s="20">
        <f t="shared" si="4"/>
        <v>3090935.850620472</v>
      </c>
      <c r="L19" s="20">
        <f t="shared" si="4"/>
        <v>3168209.2468859837</v>
      </c>
      <c r="M19" s="10">
        <f>SUM(B19:L19)</f>
        <v>28421579.1223254</v>
      </c>
    </row>
    <row r="20" spans="1:13" ht="15.75">
      <c r="A20" s="4"/>
      <c r="B20" s="19"/>
      <c r="C20" s="19"/>
      <c r="D20" s="4"/>
      <c r="E20" s="4"/>
      <c r="F20" s="4"/>
      <c r="G20" s="4"/>
      <c r="H20" s="4"/>
      <c r="I20" s="4"/>
      <c r="J20" s="4"/>
      <c r="K20" s="4"/>
      <c r="L20" s="4"/>
      <c r="M20" s="4"/>
    </row>
    <row r="21" spans="1:13" ht="15.75">
      <c r="A21" s="3" t="s">
        <v>3</v>
      </c>
      <c r="B21" s="21">
        <f>+B19+B12+B6</f>
        <v>-7500000</v>
      </c>
      <c r="C21" s="21">
        <f aca="true" t="shared" si="5" ref="C21:L21">+C19+C12+C6</f>
        <v>1463775</v>
      </c>
      <c r="D21" s="21">
        <f t="shared" si="5"/>
        <v>1503588.675</v>
      </c>
      <c r="E21" s="21">
        <f t="shared" si="5"/>
        <v>1544468.5164749995</v>
      </c>
      <c r="F21" s="21">
        <f t="shared" si="5"/>
        <v>1586442.7367280745</v>
      </c>
      <c r="G21" s="21">
        <f t="shared" si="5"/>
        <v>1629540.2876489824</v>
      </c>
      <c r="H21" s="21">
        <f t="shared" si="5"/>
        <v>1673790.8799579726</v>
      </c>
      <c r="I21" s="21">
        <f t="shared" si="5"/>
        <v>1719225.002947279</v>
      </c>
      <c r="J21" s="21">
        <f t="shared" si="5"/>
        <v>1765873.9447331051</v>
      </c>
      <c r="K21" s="21">
        <f t="shared" si="5"/>
        <v>1813769.813031244</v>
      </c>
      <c r="L21" s="21">
        <f t="shared" si="5"/>
        <v>1862945.556469793</v>
      </c>
      <c r="M21" s="10">
        <f>SUM(B21:L21)</f>
        <v>9063420.412991451</v>
      </c>
    </row>
    <row r="22" spans="1:13" ht="15.75">
      <c r="A22" s="3"/>
      <c r="B22" s="21"/>
      <c r="C22" s="21"/>
      <c r="D22" s="21"/>
      <c r="E22" s="21"/>
      <c r="F22" s="21"/>
      <c r="G22" s="21"/>
      <c r="H22" s="21"/>
      <c r="I22" s="21"/>
      <c r="J22" s="21"/>
      <c r="K22" s="21"/>
      <c r="L22" s="21"/>
      <c r="M22" s="21"/>
    </row>
    <row r="23" spans="1:13" ht="15.75">
      <c r="A23" s="3" t="s">
        <v>6</v>
      </c>
      <c r="B23" s="22"/>
      <c r="C23" s="22"/>
      <c r="D23" s="22"/>
      <c r="E23" s="22"/>
      <c r="F23" s="22"/>
      <c r="G23" s="22"/>
      <c r="H23" s="22"/>
      <c r="I23" s="22"/>
      <c r="J23" s="22"/>
      <c r="K23" s="22"/>
      <c r="L23" s="22"/>
      <c r="M23" s="10"/>
    </row>
    <row r="24" spans="1:13" ht="15.75">
      <c r="A24" s="18" t="s">
        <v>26</v>
      </c>
      <c r="B24" s="22"/>
      <c r="C24" s="22">
        <v>-1500000</v>
      </c>
      <c r="D24" s="22">
        <v>-1500000</v>
      </c>
      <c r="E24" s="22">
        <v>-1500000</v>
      </c>
      <c r="F24" s="22">
        <v>-1500000</v>
      </c>
      <c r="G24" s="22">
        <v>-1500000</v>
      </c>
      <c r="H24" s="22"/>
      <c r="I24" s="22"/>
      <c r="J24" s="22"/>
      <c r="K24" s="22"/>
      <c r="L24" s="22"/>
      <c r="M24" s="13">
        <f>SUM(B24:L24)</f>
        <v>-7500000</v>
      </c>
    </row>
    <row r="25" spans="1:13" ht="15.75">
      <c r="A25" s="18" t="s">
        <v>20</v>
      </c>
      <c r="B25" s="22"/>
      <c r="C25" s="22">
        <f>C12</f>
        <v>-1073100</v>
      </c>
      <c r="D25" s="22">
        <f aca="true" t="shared" si="6" ref="D25:L25">D12</f>
        <v>-1096708.2</v>
      </c>
      <c r="E25" s="22">
        <f t="shared" si="6"/>
        <v>-1120835.7804</v>
      </c>
      <c r="F25" s="22">
        <f t="shared" si="6"/>
        <v>-1145494.1675688</v>
      </c>
      <c r="G25" s="22">
        <f t="shared" si="6"/>
        <v>-1170695.0392553136</v>
      </c>
      <c r="H25" s="22">
        <f t="shared" si="6"/>
        <v>-1196450.3301189304</v>
      </c>
      <c r="I25" s="22">
        <f t="shared" si="6"/>
        <v>-1222772.237381547</v>
      </c>
      <c r="J25" s="22">
        <f t="shared" si="6"/>
        <v>-1249673.226603941</v>
      </c>
      <c r="K25" s="22">
        <f t="shared" si="6"/>
        <v>-1277166.0375892278</v>
      </c>
      <c r="L25" s="22">
        <f t="shared" si="6"/>
        <v>-1305263.6904161908</v>
      </c>
      <c r="M25" s="13">
        <f>SUM(B25:L25)</f>
        <v>-11858158.70933395</v>
      </c>
    </row>
    <row r="26" spans="1:13" ht="15.75">
      <c r="A26" s="18" t="s">
        <v>17</v>
      </c>
      <c r="B26" s="22"/>
      <c r="C26" s="22">
        <f>C19</f>
        <v>2536875</v>
      </c>
      <c r="D26" s="22">
        <f aca="true" t="shared" si="7" ref="D26:L26">D19</f>
        <v>2600296.875</v>
      </c>
      <c r="E26" s="22">
        <f t="shared" si="7"/>
        <v>2665304.2968749995</v>
      </c>
      <c r="F26" s="22">
        <f t="shared" si="7"/>
        <v>2731936.9042968745</v>
      </c>
      <c r="G26" s="22">
        <f t="shared" si="7"/>
        <v>2800235.326904296</v>
      </c>
      <c r="H26" s="22">
        <f t="shared" si="7"/>
        <v>2870241.210076903</v>
      </c>
      <c r="I26" s="22">
        <f t="shared" si="7"/>
        <v>2941997.240328826</v>
      </c>
      <c r="J26" s="22">
        <f t="shared" si="7"/>
        <v>3015547.171337046</v>
      </c>
      <c r="K26" s="22">
        <f t="shared" si="7"/>
        <v>3090935.850620472</v>
      </c>
      <c r="L26" s="22">
        <f t="shared" si="7"/>
        <v>3168209.2468859837</v>
      </c>
      <c r="M26" s="13">
        <f>SUM(B26:L26)</f>
        <v>28421579.1223254</v>
      </c>
    </row>
    <row r="27" spans="1:13" ht="15.75">
      <c r="A27" s="3" t="s">
        <v>5</v>
      </c>
      <c r="B27" s="21">
        <f>+B26*$G$36</f>
        <v>0</v>
      </c>
      <c r="C27" s="21">
        <f aca="true" t="shared" si="8" ref="C27:L27">-SUM(C24:C26)*$G$36</f>
        <v>12678.75</v>
      </c>
      <c r="D27" s="21">
        <f t="shared" si="8"/>
        <v>-1256.0362499999346</v>
      </c>
      <c r="E27" s="21">
        <f t="shared" si="8"/>
        <v>-15563.980766249819</v>
      </c>
      <c r="F27" s="21">
        <f t="shared" si="8"/>
        <v>-30254.957854826072</v>
      </c>
      <c r="G27" s="21">
        <f t="shared" si="8"/>
        <v>-45339.100677143826</v>
      </c>
      <c r="H27" s="21">
        <f t="shared" si="8"/>
        <v>-585826.8079852903</v>
      </c>
      <c r="I27" s="21">
        <f t="shared" si="8"/>
        <v>-601728.7510315477</v>
      </c>
      <c r="J27" s="21">
        <f t="shared" si="8"/>
        <v>-618055.8806565867</v>
      </c>
      <c r="K27" s="21">
        <f t="shared" si="8"/>
        <v>-634819.4345609354</v>
      </c>
      <c r="L27" s="21">
        <f t="shared" si="8"/>
        <v>-652030.9447644275</v>
      </c>
      <c r="M27" s="21">
        <f>SUM(B27:L27)</f>
        <v>-3172197.144547007</v>
      </c>
    </row>
    <row r="28" spans="1:13" ht="15.75">
      <c r="A28" s="3"/>
      <c r="B28" s="21"/>
      <c r="C28" s="21"/>
      <c r="D28" s="21"/>
      <c r="E28" s="21"/>
      <c r="F28" s="21"/>
      <c r="G28" s="21"/>
      <c r="H28" s="21"/>
      <c r="I28" s="21"/>
      <c r="J28" s="21"/>
      <c r="K28" s="21"/>
      <c r="L28" s="21"/>
      <c r="M28" s="21"/>
    </row>
    <row r="29" spans="1:13" ht="15.75">
      <c r="A29" s="23" t="s">
        <v>54</v>
      </c>
      <c r="B29" s="21">
        <f>B21+B27</f>
        <v>-7500000</v>
      </c>
      <c r="C29" s="21">
        <f>C21+C27+1500000</f>
        <v>2976453.75</v>
      </c>
      <c r="D29" s="21">
        <f>D21+D27+1500000</f>
        <v>3002332.63875</v>
      </c>
      <c r="E29" s="21">
        <f>E21+E27+1500000</f>
        <v>3028904.5357087497</v>
      </c>
      <c r="F29" s="21">
        <f>F21+F27+1500000</f>
        <v>3056187.7788732485</v>
      </c>
      <c r="G29" s="21">
        <f>G21+G27+1500000</f>
        <v>3084201.1869718386</v>
      </c>
      <c r="H29" s="21">
        <f>H21+H27</f>
        <v>1087964.0719726821</v>
      </c>
      <c r="I29" s="21">
        <f>I21+I27</f>
        <v>1117496.2519157315</v>
      </c>
      <c r="J29" s="21">
        <f>J21+J27</f>
        <v>1147818.0640765184</v>
      </c>
      <c r="K29" s="21">
        <f>K21+K27</f>
        <v>1178950.3784703086</v>
      </c>
      <c r="L29" s="21">
        <f>L21+L27</f>
        <v>1210914.6117053656</v>
      </c>
      <c r="M29" s="10">
        <f>SUM(B29:L29)</f>
        <v>13391223.268444441</v>
      </c>
    </row>
    <row r="30" spans="1:13" ht="15.75">
      <c r="A30" s="4"/>
      <c r="B30" s="4"/>
      <c r="C30" s="4"/>
      <c r="D30" s="4"/>
      <c r="E30" s="4"/>
      <c r="F30" s="4"/>
      <c r="G30" s="4"/>
      <c r="H30" s="4"/>
      <c r="I30" s="4"/>
      <c r="J30" s="4"/>
      <c r="K30" s="4"/>
      <c r="L30" s="4"/>
      <c r="M30" s="10"/>
    </row>
    <row r="31" spans="1:13" ht="15.75">
      <c r="A31" s="23" t="s">
        <v>19</v>
      </c>
      <c r="B31" s="21">
        <f>+B29</f>
        <v>-7500000</v>
      </c>
      <c r="C31" s="21">
        <f aca="true" t="shared" si="9" ref="C31:L31">C29/(1+$G$37)^C2</f>
        <v>2755975.694444444</v>
      </c>
      <c r="D31" s="21">
        <f t="shared" si="9"/>
        <v>2574016.3226594646</v>
      </c>
      <c r="E31" s="21">
        <f t="shared" si="9"/>
        <v>2404442.075417833</v>
      </c>
      <c r="F31" s="21">
        <f t="shared" si="9"/>
        <v>2246389.253223523</v>
      </c>
      <c r="G31" s="21">
        <f t="shared" si="9"/>
        <v>2099055.5041245897</v>
      </c>
      <c r="H31" s="21">
        <f t="shared" si="9"/>
        <v>685601.9132972482</v>
      </c>
      <c r="I31" s="21">
        <f t="shared" si="9"/>
        <v>652048.3297342632</v>
      </c>
      <c r="J31" s="21">
        <f t="shared" si="9"/>
        <v>620130.385089838</v>
      </c>
      <c r="K31" s="21">
        <f t="shared" si="9"/>
        <v>589768.7091290145</v>
      </c>
      <c r="L31" s="21">
        <f t="shared" si="9"/>
        <v>560887.7627685193</v>
      </c>
      <c r="M31" s="10">
        <f>SUM(B31:L31)</f>
        <v>7688315.949888737</v>
      </c>
    </row>
    <row r="32" spans="1:13" ht="15.75">
      <c r="A32" s="4"/>
      <c r="B32" s="4"/>
      <c r="C32" s="21"/>
      <c r="D32" s="21"/>
      <c r="E32" s="21"/>
      <c r="F32" s="21"/>
      <c r="G32" s="21"/>
      <c r="H32" s="21"/>
      <c r="I32" s="21"/>
      <c r="J32" s="21"/>
      <c r="K32" s="21"/>
      <c r="L32" s="21"/>
      <c r="M32" s="21"/>
    </row>
    <row r="33" spans="1:13" ht="15.75">
      <c r="A33" s="3" t="s">
        <v>18</v>
      </c>
      <c r="B33" s="24"/>
      <c r="C33" s="21"/>
      <c r="D33" s="21"/>
      <c r="E33" s="36" t="s">
        <v>14</v>
      </c>
      <c r="F33" s="36"/>
      <c r="G33" s="21"/>
      <c r="H33" s="21"/>
      <c r="I33" s="21"/>
      <c r="J33" s="21"/>
      <c r="K33" s="21"/>
      <c r="L33" s="21"/>
      <c r="M33" s="21"/>
    </row>
    <row r="34" spans="1:13" ht="15.75">
      <c r="A34" s="18" t="s">
        <v>9</v>
      </c>
      <c r="B34" s="21">
        <f>NPV(G37,C29:L29)+B29</f>
        <v>7688315.949888736</v>
      </c>
      <c r="C34" s="4"/>
      <c r="D34" s="4"/>
      <c r="E34" s="35" t="s">
        <v>12</v>
      </c>
      <c r="F34" s="35"/>
      <c r="G34" s="24">
        <v>0.022</v>
      </c>
      <c r="H34" s="4"/>
      <c r="I34" s="4"/>
      <c r="J34" s="22"/>
      <c r="K34" s="4"/>
      <c r="L34" s="4"/>
      <c r="M34" s="4"/>
    </row>
    <row r="35" spans="1:13" ht="15.75">
      <c r="A35" s="18" t="s">
        <v>8</v>
      </c>
      <c r="B35" s="25">
        <f>IRR(B29:L29)</f>
        <v>0.33409393267926246</v>
      </c>
      <c r="C35" s="4"/>
      <c r="D35" s="4"/>
      <c r="E35" s="35" t="s">
        <v>16</v>
      </c>
      <c r="F35" s="35"/>
      <c r="G35" s="24">
        <v>0.025</v>
      </c>
      <c r="H35" s="4"/>
      <c r="I35" s="4"/>
      <c r="J35" s="4"/>
      <c r="K35" s="4"/>
      <c r="L35" s="4"/>
      <c r="M35" s="4"/>
    </row>
    <row r="36" spans="1:13" ht="15.75">
      <c r="A36" s="18"/>
      <c r="B36" s="26"/>
      <c r="C36" s="4"/>
      <c r="D36" s="4"/>
      <c r="E36" s="35" t="s">
        <v>4</v>
      </c>
      <c r="F36" s="35"/>
      <c r="G36" s="24">
        <v>0.35</v>
      </c>
      <c r="H36" s="4"/>
      <c r="I36" s="4"/>
      <c r="J36" s="4"/>
      <c r="K36" s="4"/>
      <c r="L36" s="4"/>
      <c r="M36" s="4"/>
    </row>
    <row r="37" spans="1:13" ht="15.75">
      <c r="A37" s="18"/>
      <c r="B37" s="27"/>
      <c r="C37" s="4"/>
      <c r="D37" s="4"/>
      <c r="E37" s="35" t="s">
        <v>10</v>
      </c>
      <c r="F37" s="35"/>
      <c r="G37" s="24">
        <v>0.08</v>
      </c>
      <c r="H37" s="4"/>
      <c r="I37" s="4"/>
      <c r="J37" s="4"/>
      <c r="K37" s="4"/>
      <c r="L37" s="4"/>
      <c r="M37" s="4"/>
    </row>
    <row r="38" spans="1:13" ht="15.75">
      <c r="A38" s="28"/>
      <c r="B38" s="4"/>
      <c r="C38" s="4"/>
      <c r="D38" s="4"/>
      <c r="E38" s="4"/>
      <c r="F38" s="4"/>
      <c r="G38" s="4"/>
      <c r="H38" s="4"/>
      <c r="I38" s="4"/>
      <c r="J38" s="4"/>
      <c r="K38" s="4"/>
      <c r="L38" s="4"/>
      <c r="M38" s="4"/>
    </row>
    <row r="39" spans="1:13" ht="15.75">
      <c r="A39" s="4"/>
      <c r="B39" s="4"/>
      <c r="C39" s="4"/>
      <c r="D39" s="4"/>
      <c r="E39" s="4"/>
      <c r="F39" s="4"/>
      <c r="G39" s="4"/>
      <c r="H39" s="4"/>
      <c r="I39" s="4"/>
      <c r="J39" s="4"/>
      <c r="K39" s="4"/>
      <c r="L39" s="4"/>
      <c r="M39" s="4"/>
    </row>
    <row r="40" spans="1:13" ht="15.75">
      <c r="A40" s="4"/>
      <c r="B40" s="4"/>
      <c r="C40" s="4"/>
      <c r="D40" s="4"/>
      <c r="E40" s="4"/>
      <c r="F40" s="4"/>
      <c r="G40" s="3" t="s">
        <v>23</v>
      </c>
      <c r="H40" s="4"/>
      <c r="I40" s="4"/>
      <c r="J40" s="4"/>
      <c r="K40" s="4"/>
      <c r="L40" s="4"/>
      <c r="M40" s="4"/>
    </row>
    <row r="41" spans="1:13" ht="15.75">
      <c r="A41" s="3" t="s">
        <v>25</v>
      </c>
      <c r="B41" s="22">
        <f>B31</f>
        <v>-7500000</v>
      </c>
      <c r="C41" s="22">
        <f>B41+C31</f>
        <v>-4744024.305555556</v>
      </c>
      <c r="D41" s="22">
        <f>D31+C41</f>
        <v>-2170007.9828960914</v>
      </c>
      <c r="E41" s="22">
        <f aca="true" t="shared" si="10" ref="E41:M41">E31+D41</f>
        <v>234434.09252174152</v>
      </c>
      <c r="F41" s="22">
        <f t="shared" si="10"/>
        <v>2480823.3457452646</v>
      </c>
      <c r="G41" s="22">
        <f t="shared" si="10"/>
        <v>4579878.849869855</v>
      </c>
      <c r="H41" s="22">
        <f t="shared" si="10"/>
        <v>5265480.763167103</v>
      </c>
      <c r="I41" s="22">
        <f t="shared" si="10"/>
        <v>5917529.092901366</v>
      </c>
      <c r="J41" s="22">
        <f t="shared" si="10"/>
        <v>6537659.477991204</v>
      </c>
      <c r="K41" s="22">
        <f t="shared" si="10"/>
        <v>7127428.187120218</v>
      </c>
      <c r="L41" s="22">
        <f t="shared" si="10"/>
        <v>7688315.949888737</v>
      </c>
      <c r="M41" s="22">
        <f t="shared" si="10"/>
        <v>15376631.899777474</v>
      </c>
    </row>
  </sheetData>
  <sheetProtection/>
  <mergeCells count="5">
    <mergeCell ref="E37:F37"/>
    <mergeCell ref="E33:F33"/>
    <mergeCell ref="E34:F34"/>
    <mergeCell ref="E35:F35"/>
    <mergeCell ref="E36:F36"/>
  </mergeCells>
  <printOptions/>
  <pageMargins left="0.25" right="0.25" top="1" bottom="1" header="0.5" footer="0.5"/>
  <pageSetup fitToHeight="1" fitToWidth="1" horizontalDpi="300" verticalDpi="3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Model</dc:title>
  <dc:subject>Cash Flow Analysis</dc:subject>
  <dc:creator>Marc Resch</dc:creator>
  <cp:keywords>Cash Flow Model, Cost Model Flow, Cash Flow Analysis, Business Case</cp:keywords>
  <dc:description/>
  <cp:lastModifiedBy>Marc Resch</cp:lastModifiedBy>
  <cp:lastPrinted>2015-08-10T19:33:38Z</cp:lastPrinted>
  <dcterms:created xsi:type="dcterms:W3CDTF">2007-01-11T23:49:31Z</dcterms:created>
  <dcterms:modified xsi:type="dcterms:W3CDTF">2016-06-27T20:45:43Z</dcterms:modified>
  <cp:category>Project Management</cp:category>
  <cp:version/>
  <cp:contentType/>
  <cp:contentStatus/>
</cp:coreProperties>
</file>